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90" yWindow="150" windowWidth="26145" windowHeight="13995" activeTab="0"/>
  </bookViews>
  <sheets>
    <sheet name="Rechner" sheetId="1" r:id="rId1"/>
    <sheet name="Druckseite" sheetId="2" r:id="rId2"/>
  </sheets>
  <definedNames>
    <definedName name="a_1">'Rechner'!$E$9</definedName>
    <definedName name="a_2">'Rechner'!$H$16</definedName>
    <definedName name="a_3">'Rechner'!$K$16</definedName>
    <definedName name="a_4">'Rechner'!$N$9</definedName>
    <definedName name="ak_1">'Rechner'!$E$29</definedName>
    <definedName name="ak_2">'Rechner'!$H$10</definedName>
    <definedName name="ak_3">'Rechner'!$K$29</definedName>
    <definedName name="ak_4">'Rechner'!$N$29</definedName>
    <definedName name="alpha_1">'Rechner'!$E$18</definedName>
    <definedName name="alpha_2">'Rechner'!$H$18</definedName>
    <definedName name="alpha_3">'Rechner'!$K$18</definedName>
    <definedName name="alpha_4">'Rechner'!$N$12</definedName>
    <definedName name="alpha´_1">'Rechner'!$E$25</definedName>
    <definedName name="alpha´_2">'Rechner'!$H$25</definedName>
    <definedName name="alpha´_3">'Rechner'!$K$25</definedName>
    <definedName name="alpha´_4">'Rechner'!$N$25</definedName>
    <definedName name="beta_1">'Rechner'!$E$19</definedName>
    <definedName name="beta_2">'Rechner'!$H$19</definedName>
    <definedName name="beta_3">'Rechner'!$K$19</definedName>
    <definedName name="beta_4">'Rechner'!$N$19</definedName>
    <definedName name="beta´_1">'Rechner'!$E$26</definedName>
    <definedName name="beta´_2">'Rechner'!$H$26</definedName>
    <definedName name="beta´_3">'Rechner'!$K$26</definedName>
    <definedName name="beta´_4">'Rechner'!$N$26</definedName>
    <definedName name="delta_1">'Rechner'!$E$20</definedName>
    <definedName name="delta_2">'Rechner'!$H$20</definedName>
    <definedName name="delta_3">'Rechner'!$K$20</definedName>
    <definedName name="delta_4">'Rechner'!$N$20</definedName>
    <definedName name="delta´_1">'Rechner'!$E$27</definedName>
    <definedName name="delta´_2">'Rechner'!$H$27</definedName>
    <definedName name="delta´_3">'Rechner'!$K$27</definedName>
    <definedName name="delta´_4">'Rechner'!$N$27</definedName>
    <definedName name="_xlnm.Print_Area" localSheetId="1">'Druckseite'!$B$7:$M$30</definedName>
    <definedName name="_xlnm.Print_Area" localSheetId="0">'Rechner'!$A$1:$U$37</definedName>
    <definedName name="Fall">'Druckseite'!$L$5</definedName>
    <definedName name="gamma_1">'Rechner'!$E$21</definedName>
    <definedName name="gamma_2">'Rechner'!$H$21</definedName>
    <definedName name="gamma_3">'Rechner'!$K$21</definedName>
    <definedName name="gamma_4">'Rechner'!$N$21</definedName>
    <definedName name="gamma´_1">'Rechner'!$E$28</definedName>
    <definedName name="gamma´_2">'Rechner'!$H$28</definedName>
    <definedName name="gamma´_3">'Rechner'!$K$28</definedName>
    <definedName name="gamma´_4">'Rechner'!$N$28</definedName>
    <definedName name="h_1">'Rechner'!$E$8</definedName>
    <definedName name="h_2">'Rechner'!$H$8</definedName>
    <definedName name="h_3">'Rechner'!$K$8</definedName>
    <definedName name="h_4">'Rechner'!$N$30</definedName>
    <definedName name="hs_1">'Rechner'!$E$17</definedName>
    <definedName name="hs_2">'Rechner'!$H$17</definedName>
    <definedName name="hs_3">'Rechner'!$K$11</definedName>
    <definedName name="hs_4">'Rechner'!$N$17</definedName>
    <definedName name="n_1">'Rechner'!$E$6</definedName>
    <definedName name="n_2">'Rechner'!$H$6</definedName>
    <definedName name="n_3">'Rechner'!$K$6</definedName>
    <definedName name="n_4">'Rechner'!$N$6</definedName>
    <definedName name="omega_1">'Rechner'!$E$24</definedName>
    <definedName name="omega_2">'Rechner'!$H$24</definedName>
    <definedName name="omega_3">'Rechner'!$K$24</definedName>
    <definedName name="omega_4">'Rechner'!$N$24</definedName>
  </definedNames>
  <calcPr fullCalcOnLoad="1"/>
</workbook>
</file>

<file path=xl/sharedStrings.xml><?xml version="1.0" encoding="utf-8"?>
<sst xmlns="http://schemas.openxmlformats.org/spreadsheetml/2006/main" count="123" uniqueCount="53">
  <si>
    <t>Höhe</t>
  </si>
  <si>
    <t>Kantenlänge</t>
  </si>
  <si>
    <t>Anzahl Seiten</t>
  </si>
  <si>
    <t>Steigungswinkel</t>
  </si>
  <si>
    <t>a</t>
  </si>
  <si>
    <t>h</t>
  </si>
  <si>
    <t>n</t>
  </si>
  <si>
    <t>b</t>
  </si>
  <si>
    <t>Gesucht:</t>
  </si>
  <si>
    <t>Segmenthöhe</t>
  </si>
  <si>
    <t>hs</t>
  </si>
  <si>
    <t>Gehrungswinkel</t>
  </si>
  <si>
    <t>Sägeblattwinkel</t>
  </si>
  <si>
    <t>d</t>
  </si>
  <si>
    <t>mm</t>
  </si>
  <si>
    <t>Grad</t>
  </si>
  <si>
    <t>Nebenrechnung:</t>
  </si>
  <si>
    <r>
      <t>b</t>
    </r>
    <r>
      <rPr>
        <sz val="11"/>
        <color indexed="8"/>
        <rFont val="Arial"/>
        <family val="2"/>
      </rPr>
      <t>'</t>
    </r>
  </si>
  <si>
    <t>Fall 1</t>
  </si>
  <si>
    <t>Fall 2</t>
  </si>
  <si>
    <r>
      <t>a</t>
    </r>
    <r>
      <rPr>
        <vertAlign val="subscript"/>
        <sz val="11"/>
        <color indexed="8"/>
        <rFont val="Calibri"/>
        <family val="2"/>
      </rPr>
      <t>k</t>
    </r>
  </si>
  <si>
    <t>--</t>
  </si>
  <si>
    <t>g</t>
  </si>
  <si>
    <t>Spitzenwinkel</t>
  </si>
  <si>
    <t>Legende:</t>
  </si>
  <si>
    <t>Anschlußwinkel</t>
  </si>
  <si>
    <t>w</t>
  </si>
  <si>
    <t>Rechner zur Doku Pyramidenschnitt.pdf</t>
  </si>
  <si>
    <t>Leopoldi für woodworking.de</t>
  </si>
  <si>
    <t>Eingabefelder</t>
  </si>
  <si>
    <t>Gegeben:</t>
  </si>
  <si>
    <t xml:space="preserve">                  </t>
  </si>
  <si>
    <r>
      <t>d</t>
    </r>
    <r>
      <rPr>
        <sz val="11"/>
        <color theme="1"/>
        <rFont val="Calibri"/>
        <family val="2"/>
      </rPr>
      <t>'</t>
    </r>
  </si>
  <si>
    <t>Fall 3</t>
  </si>
  <si>
    <t>Zuschnitt</t>
  </si>
  <si>
    <t>g¢</t>
  </si>
  <si>
    <r>
      <t xml:space="preserve">a </t>
    </r>
    <r>
      <rPr>
        <sz val="11"/>
        <color theme="1"/>
        <rFont val="Calibri"/>
        <family val="2"/>
      </rPr>
      <t>alpha;</t>
    </r>
    <r>
      <rPr>
        <sz val="11"/>
        <color indexed="8"/>
        <rFont val="Symbol"/>
        <family val="1"/>
      </rPr>
      <t xml:space="preserve"> b </t>
    </r>
    <r>
      <rPr>
        <sz val="11"/>
        <color theme="1"/>
        <rFont val="Calibri"/>
        <family val="2"/>
      </rPr>
      <t>beta;</t>
    </r>
    <r>
      <rPr>
        <sz val="11"/>
        <color indexed="8"/>
        <rFont val="Symbol"/>
        <family val="1"/>
      </rPr>
      <t xml:space="preserve"> d </t>
    </r>
    <r>
      <rPr>
        <sz val="11"/>
        <color theme="1"/>
        <rFont val="Calibri"/>
        <family val="2"/>
      </rPr>
      <t xml:space="preserve">delta; </t>
    </r>
    <r>
      <rPr>
        <sz val="11"/>
        <color indexed="8"/>
        <rFont val="Symbol"/>
        <family val="1"/>
      </rPr>
      <t>g</t>
    </r>
    <r>
      <rPr>
        <sz val="11"/>
        <color theme="1"/>
        <rFont val="Calibri"/>
        <family val="2"/>
      </rPr>
      <t xml:space="preserve"> gamma; </t>
    </r>
    <r>
      <rPr>
        <sz val="11"/>
        <color indexed="8"/>
        <rFont val="Symbol"/>
        <family val="1"/>
      </rPr>
      <t>w</t>
    </r>
    <r>
      <rPr>
        <sz val="11"/>
        <color theme="1"/>
        <rFont val="Calibri"/>
        <family val="2"/>
      </rPr>
      <t xml:space="preserve"> omega;  </t>
    </r>
  </si>
  <si>
    <r>
      <t>a</t>
    </r>
    <r>
      <rPr>
        <sz val="11"/>
        <color indexed="8"/>
        <rFont val="Arial"/>
        <family val="2"/>
      </rPr>
      <t>'</t>
    </r>
  </si>
  <si>
    <t>mfg. Leopoldi</t>
  </si>
  <si>
    <t>Ungenauigkeiten und zur Leimaufnahme.</t>
  </si>
  <si>
    <r>
      <t xml:space="preserve">Winkel </t>
    </r>
    <r>
      <rPr>
        <u val="single"/>
        <sz val="10"/>
        <color indexed="8"/>
        <rFont val="Calibri"/>
        <family val="2"/>
      </rPr>
      <t>ohne Strich</t>
    </r>
    <r>
      <rPr>
        <sz val="10"/>
        <color indexed="8"/>
        <rFont val="Calibri"/>
        <family val="2"/>
      </rPr>
      <t xml:space="preserve"> sind am Zuschnitt zu messen! Winkel </t>
    </r>
    <r>
      <rPr>
        <u val="single"/>
        <sz val="10"/>
        <color indexed="8"/>
        <rFont val="Calibri"/>
        <family val="2"/>
      </rPr>
      <t>mit Strich</t>
    </r>
    <r>
      <rPr>
        <sz val="10"/>
        <color indexed="8"/>
        <rFont val="Calibri"/>
        <family val="2"/>
      </rPr>
      <t xml:space="preserve"> sind die Gegenwinkel (zu 90°)</t>
    </r>
  </si>
  <si>
    <r>
      <rPr>
        <sz val="11"/>
        <color theme="1"/>
        <rFont val="Calibri"/>
        <family val="2"/>
      </rPr>
      <t xml:space="preserve">Legende: </t>
    </r>
    <r>
      <rPr>
        <sz val="11"/>
        <color indexed="8"/>
        <rFont val="Symbol"/>
        <family val="1"/>
      </rPr>
      <t xml:space="preserve">a </t>
    </r>
    <r>
      <rPr>
        <sz val="11"/>
        <color theme="1"/>
        <rFont val="Calibri"/>
        <family val="2"/>
      </rPr>
      <t>alpha;</t>
    </r>
    <r>
      <rPr>
        <sz val="11"/>
        <color indexed="8"/>
        <rFont val="Symbol"/>
        <family val="1"/>
      </rPr>
      <t xml:space="preserve"> b </t>
    </r>
    <r>
      <rPr>
        <sz val="11"/>
        <color theme="1"/>
        <rFont val="Calibri"/>
        <family val="2"/>
      </rPr>
      <t>beta;</t>
    </r>
    <r>
      <rPr>
        <sz val="11"/>
        <color indexed="8"/>
        <rFont val="Symbol"/>
        <family val="1"/>
      </rPr>
      <t xml:space="preserve"> d </t>
    </r>
    <r>
      <rPr>
        <sz val="11"/>
        <color theme="1"/>
        <rFont val="Calibri"/>
        <family val="2"/>
      </rPr>
      <t xml:space="preserve">delta; </t>
    </r>
    <r>
      <rPr>
        <sz val="11"/>
        <color indexed="8"/>
        <rFont val="Symbol"/>
        <family val="1"/>
      </rPr>
      <t>g</t>
    </r>
    <r>
      <rPr>
        <sz val="11"/>
        <color theme="1"/>
        <rFont val="Calibri"/>
        <family val="2"/>
      </rPr>
      <t xml:space="preserve"> gamma;  a Dachkante; hs Dachschräge;</t>
    </r>
  </si>
  <si>
    <t>Druck des Segmentzuschnittes zum Pyramidenschnitt Rechner</t>
  </si>
  <si>
    <r>
      <t xml:space="preserve">Die Winkel der Sägeblattneigung  </t>
    </r>
    <r>
      <rPr>
        <sz val="10"/>
        <color indexed="8"/>
        <rFont val="Symbol"/>
        <family val="1"/>
      </rPr>
      <t>a</t>
    </r>
    <r>
      <rPr>
        <sz val="10"/>
        <color indexed="8"/>
        <rFont val="Calibri"/>
        <family val="2"/>
      </rPr>
      <t xml:space="preserve"> und </t>
    </r>
    <r>
      <rPr>
        <sz val="10"/>
        <color indexed="8"/>
        <rFont val="Symbol"/>
        <family val="1"/>
      </rPr>
      <t>d</t>
    </r>
    <r>
      <rPr>
        <sz val="10"/>
        <color indexed="8"/>
        <rFont val="Calibri"/>
        <family val="2"/>
      </rPr>
      <t xml:space="preserve"> evtl. etwas größer  wählen zum Ausgleich von </t>
    </r>
  </si>
  <si>
    <t>Stückzahl n =</t>
  </si>
  <si>
    <t>Fall 4</t>
  </si>
  <si>
    <t>ak</t>
  </si>
  <si>
    <r>
      <t xml:space="preserve">Den Winkel </t>
    </r>
    <r>
      <rPr>
        <sz val="10"/>
        <color indexed="8"/>
        <rFont val="Symbol"/>
        <family val="1"/>
      </rPr>
      <t>a</t>
    </r>
    <r>
      <rPr>
        <sz val="10"/>
        <color indexed="8"/>
        <rFont val="Calibri"/>
        <family val="2"/>
      </rPr>
      <t xml:space="preserve"> wahlweise als Dachkante (a) auch 90° schneiden!</t>
    </r>
  </si>
  <si>
    <t>Für die Anzeige Fall 1-4, oder 0 für Leerausgabe wählen!</t>
  </si>
  <si>
    <t>Alle Angaben ohne Gewähr</t>
  </si>
  <si>
    <t xml:space="preserve">    Alle Winkel in Grad</t>
  </si>
  <si>
    <r>
      <rPr>
        <sz val="11"/>
        <color indexed="10"/>
        <rFont val="Symbol"/>
        <family val="1"/>
      </rPr>
      <t>Þ</t>
    </r>
    <r>
      <rPr>
        <sz val="11"/>
        <color indexed="10"/>
        <rFont val="Calibri"/>
        <family val="2"/>
      </rPr>
      <t xml:space="preserve"> Bitte eingeben: Druckausgabe für Fall Nr.:     </t>
    </r>
  </si>
  <si>
    <t>Version 2.4.1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</si>
</sst>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\ &quot;€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mbol"/>
      <family val="1"/>
    </font>
    <font>
      <sz val="11"/>
      <color indexed="8"/>
      <name val="Arial"/>
      <family val="2"/>
    </font>
    <font>
      <vertAlign val="subscript"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Symbol"/>
      <family val="1"/>
    </font>
    <font>
      <u val="single"/>
      <sz val="10"/>
      <color indexed="8"/>
      <name val="Calibri"/>
      <family val="2"/>
    </font>
    <font>
      <sz val="11"/>
      <color indexed="10"/>
      <name val="Symbol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Symbol"/>
      <family val="1"/>
    </font>
    <font>
      <u val="single"/>
      <sz val="11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Symbol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Symbol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Symbol"/>
      <family val="1"/>
    </font>
    <font>
      <u val="single"/>
      <sz val="11"/>
      <color theme="1"/>
      <name val="Calibri"/>
      <family val="2"/>
    </font>
    <font>
      <sz val="11"/>
      <color theme="1"/>
      <name val="Symbol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20"/>
      <color theme="1"/>
      <name val="Symbol"/>
      <family val="1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87"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56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quotePrefix="1">
      <alignment horizontal="right"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0" fillId="0" borderId="15" xfId="0" applyBorder="1" applyAlignment="1">
      <alignment/>
    </xf>
    <xf numFmtId="0" fontId="58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2" fontId="43" fillId="35" borderId="0" xfId="0" applyNumberFormat="1" applyFont="1" applyFill="1" applyBorder="1" applyAlignment="1" applyProtection="1">
      <alignment/>
      <protection locked="0"/>
    </xf>
    <xf numFmtId="2" fontId="43" fillId="34" borderId="0" xfId="0" applyNumberFormat="1" applyFont="1" applyFill="1" applyBorder="1" applyAlignment="1">
      <alignment/>
    </xf>
    <xf numFmtId="2" fontId="0" fillId="34" borderId="0" xfId="0" applyNumberFormat="1" applyFont="1" applyFill="1" applyBorder="1" applyAlignment="1" quotePrefix="1">
      <alignment horizontal="right"/>
    </xf>
    <xf numFmtId="2" fontId="0" fillId="0" borderId="0" xfId="0" applyNumberFormat="1" applyFont="1" applyBorder="1" applyAlignment="1" applyProtection="1">
      <alignment/>
      <protection/>
    </xf>
    <xf numFmtId="2" fontId="0" fillId="33" borderId="0" xfId="0" applyNumberFormat="1" applyFont="1" applyFill="1" applyBorder="1" applyAlignment="1">
      <alignment/>
    </xf>
    <xf numFmtId="2" fontId="43" fillId="16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Border="1" applyAlignment="1">
      <alignment horizontal="center"/>
    </xf>
    <xf numFmtId="0" fontId="43" fillId="0" borderId="0" xfId="0" applyFont="1" applyFill="1" applyBorder="1" applyAlignment="1">
      <alignment/>
    </xf>
    <xf numFmtId="2" fontId="0" fillId="34" borderId="0" xfId="0" applyNumberFormat="1" applyFill="1" applyBorder="1" applyAlignment="1" quotePrefix="1">
      <alignment horizontal="right"/>
    </xf>
    <xf numFmtId="164" fontId="0" fillId="0" borderId="0" xfId="0" applyNumberFormat="1" applyFon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2" fontId="43" fillId="33" borderId="0" xfId="0" applyNumberFormat="1" applyFont="1" applyFill="1" applyBorder="1" applyAlignment="1" applyProtection="1">
      <alignment/>
      <protection/>
    </xf>
    <xf numFmtId="2" fontId="0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59" fillId="0" borderId="0" xfId="0" applyFont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4" fontId="60" fillId="0" borderId="0" xfId="0" applyNumberFormat="1" applyFont="1" applyBorder="1" applyAlignment="1">
      <alignment/>
    </xf>
    <xf numFmtId="164" fontId="60" fillId="0" borderId="0" xfId="0" applyNumberFormat="1" applyFont="1" applyBorder="1" applyAlignment="1">
      <alignment horizontal="left"/>
    </xf>
    <xf numFmtId="164" fontId="60" fillId="0" borderId="0" xfId="0" applyNumberFormat="1" applyFont="1" applyAlignment="1">
      <alignment/>
    </xf>
    <xf numFmtId="164" fontId="60" fillId="0" borderId="0" xfId="0" applyNumberFormat="1" applyFont="1" applyAlignment="1">
      <alignment horizontal="left"/>
    </xf>
    <xf numFmtId="164" fontId="60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6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62" fillId="0" borderId="0" xfId="0" applyFont="1" applyAlignment="1">
      <alignment horizontal="right" vertical="center"/>
    </xf>
    <xf numFmtId="0" fontId="63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right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1" fontId="60" fillId="0" borderId="0" xfId="0" applyNumberFormat="1" applyFont="1" applyBorder="1" applyAlignment="1">
      <alignment horizontal="left"/>
    </xf>
    <xf numFmtId="2" fontId="43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61" fillId="0" borderId="0" xfId="0" applyFont="1" applyAlignment="1">
      <alignment vertical="center"/>
    </xf>
    <xf numFmtId="1" fontId="43" fillId="16" borderId="0" xfId="0" applyNumberFormat="1" applyFont="1" applyFill="1" applyBorder="1" applyAlignment="1" applyProtection="1">
      <alignment/>
      <protection locked="0"/>
    </xf>
    <xf numFmtId="1" fontId="43" fillId="0" borderId="0" xfId="0" applyNumberFormat="1" applyFont="1" applyFill="1" applyBorder="1" applyAlignment="1" applyProtection="1">
      <alignment/>
      <protection/>
    </xf>
    <xf numFmtId="1" fontId="43" fillId="16" borderId="0" xfId="0" applyNumberFormat="1" applyFont="1" applyFill="1" applyBorder="1" applyAlignment="1" applyProtection="1">
      <alignment horizontal="right"/>
      <protection locked="0"/>
    </xf>
    <xf numFmtId="164" fontId="6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54" fillId="0" borderId="0" xfId="0" applyFont="1" applyAlignment="1">
      <alignment vertical="center"/>
    </xf>
    <xf numFmtId="49" fontId="5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43" fillId="36" borderId="0" xfId="0" applyNumberFormat="1" applyFont="1" applyFill="1" applyBorder="1" applyAlignment="1">
      <alignment/>
    </xf>
    <xf numFmtId="2" fontId="43" fillId="36" borderId="0" xfId="0" applyNumberFormat="1" applyFont="1" applyFill="1" applyBorder="1" applyAlignment="1" quotePrefix="1">
      <alignment horizontal="right"/>
    </xf>
    <xf numFmtId="2" fontId="43" fillId="9" borderId="0" xfId="0" applyNumberFormat="1" applyFont="1" applyFill="1" applyBorder="1" applyAlignment="1">
      <alignment/>
    </xf>
    <xf numFmtId="0" fontId="34" fillId="0" borderId="0" xfId="0" applyFont="1" applyBorder="1" applyAlignment="1">
      <alignment/>
    </xf>
    <xf numFmtId="164" fontId="0" fillId="16" borderId="0" xfId="0" applyNumberFormat="1" applyFont="1" applyFill="1" applyBorder="1" applyAlignment="1">
      <alignment horizontal="center"/>
    </xf>
    <xf numFmtId="2" fontId="0" fillId="34" borderId="0" xfId="0" applyNumberFormat="1" applyFont="1" applyFill="1" applyBorder="1" applyAlignment="1">
      <alignment horizontal="center"/>
    </xf>
    <xf numFmtId="164" fontId="60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25</xdr:row>
      <xdr:rowOff>171450</xdr:rowOff>
    </xdr:from>
    <xdr:to>
      <xdr:col>2</xdr:col>
      <xdr:colOff>1143000</xdr:colOff>
      <xdr:row>32</xdr:row>
      <xdr:rowOff>57150</xdr:rowOff>
    </xdr:to>
    <xdr:pic>
      <xdr:nvPicPr>
        <xdr:cNvPr id="1" name="Grafik 4" descr="Bildschirmausschni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448175"/>
          <a:ext cx="1162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219075</xdr:colOff>
      <xdr:row>5</xdr:row>
      <xdr:rowOff>76200</xdr:rowOff>
    </xdr:from>
    <xdr:to>
      <xdr:col>19</xdr:col>
      <xdr:colOff>9525</xdr:colOff>
      <xdr:row>20</xdr:row>
      <xdr:rowOff>47625</xdr:rowOff>
    </xdr:to>
    <xdr:pic>
      <xdr:nvPicPr>
        <xdr:cNvPr id="2" name="Grafik 6" descr="Bildschirmausschni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923925"/>
          <a:ext cx="30670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1</xdr:row>
      <xdr:rowOff>152400</xdr:rowOff>
    </xdr:from>
    <xdr:to>
      <xdr:col>18</xdr:col>
      <xdr:colOff>990600</xdr:colOff>
      <xdr:row>4</xdr:row>
      <xdr:rowOff>180975</xdr:rowOff>
    </xdr:to>
    <xdr:pic>
      <xdr:nvPicPr>
        <xdr:cNvPr id="3" name="Grafik 2" descr="Bildschirmausschnit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15350" y="238125"/>
          <a:ext cx="847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1066800</xdr:colOff>
      <xdr:row>4</xdr:row>
      <xdr:rowOff>47625</xdr:rowOff>
    </xdr:from>
    <xdr:ext cx="276225" cy="152400"/>
    <xdr:sp>
      <xdr:nvSpPr>
        <xdr:cNvPr id="4" name="Textfeld 8"/>
        <xdr:cNvSpPr txBox="1">
          <a:spLocks noChangeArrowheads="1"/>
        </xdr:cNvSpPr>
      </xdr:nvSpPr>
      <xdr:spPr>
        <a:xfrm>
          <a:off x="9439275" y="704850"/>
          <a:ext cx="2762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Fall 4</a:t>
          </a:r>
        </a:p>
      </xdr:txBody>
    </xdr:sp>
    <xdr:clientData/>
  </xdr:oneCellAnchor>
  <xdr:oneCellAnchor>
    <xdr:from>
      <xdr:col>15</xdr:col>
      <xdr:colOff>781050</xdr:colOff>
      <xdr:row>15</xdr:row>
      <xdr:rowOff>161925</xdr:rowOff>
    </xdr:from>
    <xdr:ext cx="276225" cy="152400"/>
    <xdr:sp>
      <xdr:nvSpPr>
        <xdr:cNvPr id="5" name="Textfeld 12"/>
        <xdr:cNvSpPr txBox="1">
          <a:spLocks noChangeArrowheads="1"/>
        </xdr:cNvSpPr>
      </xdr:nvSpPr>
      <xdr:spPr>
        <a:xfrm>
          <a:off x="7143750" y="2533650"/>
          <a:ext cx="2762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Fall 1</a:t>
          </a:r>
        </a:p>
      </xdr:txBody>
    </xdr:sp>
    <xdr:clientData/>
  </xdr:oneCellAnchor>
  <xdr:twoCellAnchor>
    <xdr:from>
      <xdr:col>1</xdr:col>
      <xdr:colOff>85725</xdr:colOff>
      <xdr:row>1</xdr:row>
      <xdr:rowOff>57150</xdr:rowOff>
    </xdr:from>
    <xdr:to>
      <xdr:col>4</xdr:col>
      <xdr:colOff>552450</xdr:colOff>
      <xdr:row>2</xdr:row>
      <xdr:rowOff>85725</xdr:rowOff>
    </xdr:to>
    <xdr:sp>
      <xdr:nvSpPr>
        <xdr:cNvPr id="6" name="Textfeld 1"/>
        <xdr:cNvSpPr txBox="1">
          <a:spLocks noChangeArrowheads="1"/>
        </xdr:cNvSpPr>
      </xdr:nvSpPr>
      <xdr:spPr>
        <a:xfrm>
          <a:off x="152400" y="142875"/>
          <a:ext cx="2238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Pyramidenschnitt Rechner .xls   </a:t>
          </a:r>
        </a:p>
      </xdr:txBody>
    </xdr:sp>
    <xdr:clientData/>
  </xdr:twoCellAnchor>
  <xdr:twoCellAnchor editAs="oneCell">
    <xdr:from>
      <xdr:col>15</xdr:col>
      <xdr:colOff>219075</xdr:colOff>
      <xdr:row>21</xdr:row>
      <xdr:rowOff>38100</xdr:rowOff>
    </xdr:from>
    <xdr:to>
      <xdr:col>19</xdr:col>
      <xdr:colOff>19050</xdr:colOff>
      <xdr:row>31</xdr:row>
      <xdr:rowOff>47625</xdr:rowOff>
    </xdr:to>
    <xdr:pic>
      <xdr:nvPicPr>
        <xdr:cNvPr id="7" name="Grafik 9" descr="Bildschirmausschnit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81775" y="3552825"/>
          <a:ext cx="30765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428625</xdr:colOff>
      <xdr:row>23</xdr:row>
      <xdr:rowOff>142875</xdr:rowOff>
    </xdr:from>
    <xdr:to>
      <xdr:col>17</xdr:col>
      <xdr:colOff>342900</xdr:colOff>
      <xdr:row>25</xdr:row>
      <xdr:rowOff>114300</xdr:rowOff>
    </xdr:to>
    <xdr:sp>
      <xdr:nvSpPr>
        <xdr:cNvPr id="8" name="Textfeld 11"/>
        <xdr:cNvSpPr txBox="1">
          <a:spLocks noChangeArrowheads="1"/>
        </xdr:cNvSpPr>
      </xdr:nvSpPr>
      <xdr:spPr>
        <a:xfrm>
          <a:off x="6791325" y="4038600"/>
          <a:ext cx="1162050" cy="3524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lIns="72000" tIns="0" rIns="3600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Pyramidensegment
-Zuschnitt</a:t>
          </a:r>
        </a:p>
      </xdr:txBody>
    </xdr:sp>
    <xdr:clientData/>
  </xdr:twoCellAnchor>
  <xdr:twoCellAnchor>
    <xdr:from>
      <xdr:col>16</xdr:col>
      <xdr:colOff>342900</xdr:colOff>
      <xdr:row>32</xdr:row>
      <xdr:rowOff>47625</xdr:rowOff>
    </xdr:from>
    <xdr:to>
      <xdr:col>18</xdr:col>
      <xdr:colOff>952500</xdr:colOff>
      <xdr:row>32</xdr:row>
      <xdr:rowOff>180975</xdr:rowOff>
    </xdr:to>
    <xdr:sp>
      <xdr:nvSpPr>
        <xdr:cNvPr id="9" name="Textfeld 5"/>
        <xdr:cNvSpPr txBox="1">
          <a:spLocks noChangeArrowheads="1"/>
        </xdr:cNvSpPr>
      </xdr:nvSpPr>
      <xdr:spPr>
        <a:xfrm>
          <a:off x="7562850" y="5657850"/>
          <a:ext cx="1762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Als Dachkante (a)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kann </a:t>
          </a:r>
          <a:r>
            <a:rPr lang="en-US" cap="none" sz="8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auch 90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 sein!</a:t>
          </a:r>
        </a:p>
      </xdr:txBody>
    </xdr:sp>
    <xdr:clientData/>
  </xdr:twoCellAnchor>
  <xdr:twoCellAnchor>
    <xdr:from>
      <xdr:col>10</xdr:col>
      <xdr:colOff>123825</xdr:colOff>
      <xdr:row>31</xdr:row>
      <xdr:rowOff>114300</xdr:rowOff>
    </xdr:from>
    <xdr:to>
      <xdr:col>15</xdr:col>
      <xdr:colOff>581025</xdr:colOff>
      <xdr:row>33</xdr:row>
      <xdr:rowOff>9525</xdr:rowOff>
    </xdr:to>
    <xdr:sp>
      <xdr:nvSpPr>
        <xdr:cNvPr id="10" name="Textfeld 2"/>
        <xdr:cNvSpPr txBox="1">
          <a:spLocks noChangeArrowheads="1"/>
        </xdr:cNvSpPr>
      </xdr:nvSpPr>
      <xdr:spPr>
        <a:xfrm>
          <a:off x="4267200" y="5534025"/>
          <a:ext cx="2676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!  Ausdruck über Tabellenblatt "Druckseite"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7</xdr:row>
      <xdr:rowOff>19050</xdr:rowOff>
    </xdr:from>
    <xdr:to>
      <xdr:col>12</xdr:col>
      <xdr:colOff>361950</xdr:colOff>
      <xdr:row>29</xdr:row>
      <xdr:rowOff>238125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009775"/>
          <a:ext cx="4895850" cy="539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6"/>
  <sheetViews>
    <sheetView showGridLines="0" tabSelected="1" zoomScale="130" zoomScaleNormal="130" zoomScalePageLayoutView="0" workbookViewId="0" topLeftCell="A1">
      <selection activeCell="E6" sqref="E6"/>
    </sheetView>
  </sheetViews>
  <sheetFormatPr defaultColWidth="11.421875" defaultRowHeight="15"/>
  <cols>
    <col min="1" max="1" width="0.9921875" style="0" customWidth="1"/>
    <col min="2" max="2" width="2.7109375" style="0" customWidth="1"/>
    <col min="3" max="3" width="18.140625" style="0" customWidth="1"/>
    <col min="4" max="4" width="5.7109375" style="0" customWidth="1"/>
    <col min="5" max="5" width="10.7109375" style="1" customWidth="1"/>
    <col min="6" max="6" width="5.28125" style="0" customWidth="1"/>
    <col min="7" max="7" width="1.28515625" style="0" customWidth="1"/>
    <col min="8" max="8" width="10.7109375" style="0" customWidth="1"/>
    <col min="9" max="9" width="5.28125" style="0" customWidth="1"/>
    <col min="10" max="10" width="1.28515625" style="0" customWidth="1"/>
    <col min="11" max="11" width="10.7109375" style="0" customWidth="1"/>
    <col min="12" max="12" width="5.28125" style="0" customWidth="1"/>
    <col min="13" max="13" width="1.28515625" style="0" customWidth="1"/>
    <col min="14" max="14" width="10.7109375" style="0" customWidth="1"/>
    <col min="15" max="15" width="5.28125" style="0" customWidth="1"/>
    <col min="16" max="16" width="12.8515625" style="0" customWidth="1"/>
    <col min="17" max="17" width="5.8515625" style="0" customWidth="1"/>
    <col min="19" max="19" width="19.00390625" style="0" customWidth="1"/>
    <col min="20" max="20" width="2.7109375" style="0" customWidth="1"/>
    <col min="21" max="21" width="1.28515625" style="0" customWidth="1"/>
  </cols>
  <sheetData>
    <row r="1" ht="6.75" customHeight="1"/>
    <row r="2" spans="2:20" ht="15">
      <c r="B2" s="4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</row>
    <row r="3" spans="2:20" ht="15">
      <c r="B3" s="2"/>
      <c r="C3" s="8" t="s">
        <v>31</v>
      </c>
      <c r="D3" s="8"/>
      <c r="E3" s="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2:20" ht="15">
      <c r="B4" s="2"/>
      <c r="C4" s="8"/>
      <c r="D4" s="8"/>
      <c r="E4" s="83" t="s">
        <v>29</v>
      </c>
      <c r="F4" s="83"/>
      <c r="G4" s="83"/>
      <c r="H4" s="83"/>
      <c r="I4" s="83"/>
      <c r="J4" s="83"/>
      <c r="K4" s="83"/>
      <c r="L4" s="83"/>
      <c r="M4" s="83"/>
      <c r="N4" s="83"/>
      <c r="O4" s="8"/>
      <c r="P4" s="8"/>
      <c r="Q4" s="8"/>
      <c r="R4" s="8"/>
      <c r="S4" s="8"/>
      <c r="T4" s="9"/>
    </row>
    <row r="5" spans="2:20" ht="15">
      <c r="B5" s="2"/>
      <c r="C5" s="27" t="s">
        <v>30</v>
      </c>
      <c r="D5" s="16"/>
      <c r="E5" s="65" t="s">
        <v>18</v>
      </c>
      <c r="F5" s="25"/>
      <c r="G5" s="25"/>
      <c r="H5" s="65" t="s">
        <v>19</v>
      </c>
      <c r="I5" s="8"/>
      <c r="J5" s="8"/>
      <c r="K5" s="65" t="s">
        <v>33</v>
      </c>
      <c r="L5" s="8"/>
      <c r="M5" s="8"/>
      <c r="N5" s="65" t="s">
        <v>45</v>
      </c>
      <c r="O5" s="8"/>
      <c r="P5" s="8"/>
      <c r="Q5" s="8"/>
      <c r="R5" s="8"/>
      <c r="S5" s="8"/>
      <c r="T5" s="9"/>
    </row>
    <row r="6" spans="2:20" ht="15">
      <c r="B6" s="2"/>
      <c r="C6" s="8" t="s">
        <v>2</v>
      </c>
      <c r="D6" s="10" t="s">
        <v>6</v>
      </c>
      <c r="E6" s="73">
        <v>4</v>
      </c>
      <c r="F6" s="11"/>
      <c r="G6" s="11"/>
      <c r="H6" s="71">
        <v>5</v>
      </c>
      <c r="I6" s="11"/>
      <c r="J6" s="11"/>
      <c r="K6" s="71">
        <v>6</v>
      </c>
      <c r="L6" s="8"/>
      <c r="M6" s="8"/>
      <c r="N6" s="71">
        <v>8</v>
      </c>
      <c r="O6" s="8"/>
      <c r="P6" s="8"/>
      <c r="Q6" s="8"/>
      <c r="R6" s="8"/>
      <c r="S6" s="8"/>
      <c r="T6" s="9"/>
    </row>
    <row r="7" spans="2:20" s="44" customFormat="1" ht="3" customHeight="1">
      <c r="B7" s="67"/>
      <c r="C7" s="25"/>
      <c r="D7" s="36"/>
      <c r="E7" s="72"/>
      <c r="F7" s="68"/>
      <c r="G7" s="68"/>
      <c r="H7" s="72"/>
      <c r="I7" s="68"/>
      <c r="J7" s="68"/>
      <c r="K7" s="72"/>
      <c r="L7" s="25"/>
      <c r="M7" s="25"/>
      <c r="N7" s="72"/>
      <c r="O7" s="25"/>
      <c r="P7" s="25"/>
      <c r="Q7" s="25"/>
      <c r="R7" s="25"/>
      <c r="S7" s="25"/>
      <c r="T7" s="69"/>
    </row>
    <row r="8" spans="2:20" ht="15">
      <c r="B8" s="2"/>
      <c r="C8" s="8" t="s">
        <v>0</v>
      </c>
      <c r="D8" s="10" t="s">
        <v>5</v>
      </c>
      <c r="E8" s="29">
        <v>200</v>
      </c>
      <c r="F8" s="8" t="s">
        <v>14</v>
      </c>
      <c r="G8" s="8"/>
      <c r="H8" s="29">
        <v>300</v>
      </c>
      <c r="I8" s="8" t="s">
        <v>14</v>
      </c>
      <c r="J8" s="8"/>
      <c r="K8" s="29">
        <v>220</v>
      </c>
      <c r="L8" s="8" t="s">
        <v>14</v>
      </c>
      <c r="M8" s="8"/>
      <c r="N8" s="12"/>
      <c r="P8" s="8"/>
      <c r="Q8" s="8"/>
      <c r="R8" s="8"/>
      <c r="S8" s="8"/>
      <c r="T8" s="9"/>
    </row>
    <row r="9" spans="2:20" ht="15">
      <c r="B9" s="2"/>
      <c r="C9" s="8" t="s">
        <v>1</v>
      </c>
      <c r="D9" s="10" t="s">
        <v>4</v>
      </c>
      <c r="E9" s="29">
        <v>200</v>
      </c>
      <c r="F9" s="8" t="s">
        <v>14</v>
      </c>
      <c r="G9" s="8"/>
      <c r="H9" s="40"/>
      <c r="I9" s="8"/>
      <c r="J9" s="8"/>
      <c r="K9" s="64"/>
      <c r="M9" s="8"/>
      <c r="N9" s="29">
        <v>200</v>
      </c>
      <c r="O9" s="8" t="s">
        <v>14</v>
      </c>
      <c r="P9" s="8"/>
      <c r="Q9" s="8"/>
      <c r="R9" s="8"/>
      <c r="S9" s="8"/>
      <c r="T9" s="9"/>
    </row>
    <row r="10" spans="2:20" ht="15">
      <c r="B10" s="2"/>
      <c r="C10" s="8" t="s">
        <v>1</v>
      </c>
      <c r="D10" s="10" t="s">
        <v>46</v>
      </c>
      <c r="E10" s="65"/>
      <c r="G10" s="8"/>
      <c r="H10" s="29">
        <v>220</v>
      </c>
      <c r="I10" s="8" t="s">
        <v>14</v>
      </c>
      <c r="J10" s="8"/>
      <c r="K10" s="64"/>
      <c r="M10" s="8"/>
      <c r="N10" s="64"/>
      <c r="O10" s="8"/>
      <c r="P10" s="8"/>
      <c r="Q10" s="8"/>
      <c r="R10" s="8"/>
      <c r="S10" s="8"/>
      <c r="T10" s="9"/>
    </row>
    <row r="11" spans="2:20" ht="15">
      <c r="B11" s="2"/>
      <c r="C11" s="25" t="s">
        <v>9</v>
      </c>
      <c r="D11" s="10" t="s">
        <v>10</v>
      </c>
      <c r="E11" s="64"/>
      <c r="F11" s="8"/>
      <c r="G11" s="8"/>
      <c r="H11" s="64"/>
      <c r="I11" s="8"/>
      <c r="J11" s="8"/>
      <c r="K11" s="29">
        <v>250</v>
      </c>
      <c r="L11" s="8" t="s">
        <v>14</v>
      </c>
      <c r="M11" s="8"/>
      <c r="N11" s="64"/>
      <c r="P11" s="8"/>
      <c r="Q11" s="8"/>
      <c r="R11" s="8"/>
      <c r="S11" s="8"/>
      <c r="T11" s="9"/>
    </row>
    <row r="12" spans="2:20" ht="15">
      <c r="B12" s="2"/>
      <c r="C12" s="8" t="s">
        <v>3</v>
      </c>
      <c r="D12" s="13" t="s">
        <v>4</v>
      </c>
      <c r="E12" s="14"/>
      <c r="F12" s="8"/>
      <c r="G12" s="8"/>
      <c r="H12" s="8"/>
      <c r="I12" s="8"/>
      <c r="J12" s="8"/>
      <c r="K12" s="64"/>
      <c r="M12" s="8"/>
      <c r="N12" s="34">
        <v>30</v>
      </c>
      <c r="O12" s="8" t="s">
        <v>15</v>
      </c>
      <c r="P12" s="8"/>
      <c r="Q12" s="8"/>
      <c r="R12" s="8"/>
      <c r="S12" s="8"/>
      <c r="T12" s="9"/>
    </row>
    <row r="13" spans="2:20" ht="6" customHeight="1">
      <c r="B13" s="2"/>
      <c r="C13" s="8"/>
      <c r="D13" s="13"/>
      <c r="E13" s="14"/>
      <c r="F13" s="8"/>
      <c r="G13" s="8"/>
      <c r="H13" s="8"/>
      <c r="I13" s="8"/>
      <c r="J13" s="8"/>
      <c r="K13" s="64"/>
      <c r="L13" s="8"/>
      <c r="M13" s="8"/>
      <c r="N13" s="40"/>
      <c r="O13" s="8"/>
      <c r="P13" s="8"/>
      <c r="Q13" s="8"/>
      <c r="R13" s="8"/>
      <c r="S13" s="8"/>
      <c r="T13" s="9"/>
    </row>
    <row r="14" spans="2:20" ht="15">
      <c r="B14" s="2"/>
      <c r="C14" s="28" t="s">
        <v>8</v>
      </c>
      <c r="D14" s="16"/>
      <c r="E14" s="84" t="s">
        <v>34</v>
      </c>
      <c r="F14" s="84"/>
      <c r="G14" s="84"/>
      <c r="H14" s="84"/>
      <c r="I14" s="84"/>
      <c r="J14" s="84"/>
      <c r="K14" s="84"/>
      <c r="L14" s="84"/>
      <c r="M14" s="84"/>
      <c r="N14" s="84"/>
      <c r="O14" s="8"/>
      <c r="P14" s="8"/>
      <c r="Q14" s="8"/>
      <c r="R14" s="8"/>
      <c r="S14" s="8"/>
      <c r="T14" s="9"/>
    </row>
    <row r="15" spans="2:20" ht="6" customHeight="1">
      <c r="B15" s="2"/>
      <c r="C15" s="42"/>
      <c r="D15" s="16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8"/>
      <c r="P15" s="8"/>
      <c r="Q15" s="8"/>
      <c r="R15" s="8"/>
      <c r="S15" s="8"/>
      <c r="T15" s="9"/>
    </row>
    <row r="16" spans="2:20" ht="15">
      <c r="B16" s="2"/>
      <c r="C16" s="25" t="s">
        <v>1</v>
      </c>
      <c r="D16" s="36" t="s">
        <v>4</v>
      </c>
      <c r="E16" s="31">
        <f>a_1</f>
        <v>200</v>
      </c>
      <c r="F16" s="26" t="s">
        <v>14</v>
      </c>
      <c r="G16" s="26"/>
      <c r="H16" s="30">
        <f>2*TAN(RADIANS(360/n_2)/2)*ak_2</f>
        <v>319.6787123223588</v>
      </c>
      <c r="I16" s="25" t="s">
        <v>14</v>
      </c>
      <c r="J16" s="8"/>
      <c r="K16" s="30">
        <f>2*TAN(RADIANS(360/n_3)/2)*ak_3</f>
        <v>137.11309200802086</v>
      </c>
      <c r="L16" s="25" t="s">
        <v>14</v>
      </c>
      <c r="M16" s="8"/>
      <c r="N16" s="37">
        <f>a_4</f>
        <v>200</v>
      </c>
      <c r="O16" s="25" t="s">
        <v>14</v>
      </c>
      <c r="P16" s="8"/>
      <c r="Q16" s="8"/>
      <c r="R16" s="8"/>
      <c r="S16" s="8"/>
      <c r="T16" s="9"/>
    </row>
    <row r="17" spans="2:20" ht="15">
      <c r="B17" s="2"/>
      <c r="C17" s="8" t="s">
        <v>9</v>
      </c>
      <c r="D17" s="10" t="s">
        <v>10</v>
      </c>
      <c r="E17" s="30">
        <f>SQRT((POWER(ak_1,2)+(POWER(h_1,2))))</f>
        <v>223.60679774997897</v>
      </c>
      <c r="F17" s="8" t="s">
        <v>14</v>
      </c>
      <c r="G17" s="8"/>
      <c r="H17" s="30">
        <f>SQRT(POWER(h_2,2)+POWER(ak_2,2))</f>
        <v>372.0215047547655</v>
      </c>
      <c r="I17" s="8" t="s">
        <v>14</v>
      </c>
      <c r="J17" s="8"/>
      <c r="K17" s="31">
        <f>hs_3</f>
        <v>250</v>
      </c>
      <c r="L17" s="8" t="s">
        <v>14</v>
      </c>
      <c r="M17" s="8"/>
      <c r="N17" s="30">
        <f>SQRT((POWER(ak_4,2)+(POWER(h_4,2))))</f>
        <v>278.76937002347034</v>
      </c>
      <c r="O17" s="8" t="s">
        <v>14</v>
      </c>
      <c r="P17" s="8"/>
      <c r="Q17" s="8"/>
      <c r="R17" s="8"/>
      <c r="S17" s="8"/>
      <c r="T17" s="9"/>
    </row>
    <row r="18" spans="2:20" ht="15">
      <c r="B18" s="2"/>
      <c r="C18" s="8" t="s">
        <v>3</v>
      </c>
      <c r="D18" s="13" t="s">
        <v>4</v>
      </c>
      <c r="E18" s="79">
        <f>DEGREES(ATAN(h_1/(ak_1)))</f>
        <v>63.43494882292201</v>
      </c>
      <c r="F18" s="8" t="s">
        <v>15</v>
      </c>
      <c r="G18" s="8"/>
      <c r="H18" s="79">
        <f>DEGREES(ATAN(h_2/(ak_2)))</f>
        <v>53.74616226255521</v>
      </c>
      <c r="I18" s="8" t="s">
        <v>15</v>
      </c>
      <c r="J18" s="8"/>
      <c r="K18" s="79">
        <f>DEGREES(ATAN(h_3/(ak_3)))</f>
        <v>61.64236342367202</v>
      </c>
      <c r="L18" s="8" t="s">
        <v>15</v>
      </c>
      <c r="M18" s="8"/>
      <c r="N18" s="80">
        <f>alpha_4</f>
        <v>30</v>
      </c>
      <c r="O18" s="25" t="s">
        <v>15</v>
      </c>
      <c r="P18" s="8"/>
      <c r="Q18" s="8"/>
      <c r="R18" s="8"/>
      <c r="S18" s="8"/>
      <c r="T18" s="9"/>
    </row>
    <row r="19" spans="2:20" ht="15">
      <c r="B19" s="2"/>
      <c r="C19" s="8" t="s">
        <v>11</v>
      </c>
      <c r="D19" s="13" t="s">
        <v>7</v>
      </c>
      <c r="E19" s="30">
        <f>90-beta´_1</f>
        <v>65.9051574478893</v>
      </c>
      <c r="F19" s="8" t="s">
        <v>15</v>
      </c>
      <c r="G19" s="8"/>
      <c r="H19" s="30">
        <f>90-beta´_2</f>
        <v>66.74918040424409</v>
      </c>
      <c r="I19" s="8" t="s">
        <v>15</v>
      </c>
      <c r="J19" s="8"/>
      <c r="K19" s="30">
        <f>90-beta´_3</f>
        <v>74.66497608923436</v>
      </c>
      <c r="L19" s="8" t="s">
        <v>15</v>
      </c>
      <c r="M19" s="8"/>
      <c r="N19" s="30">
        <f>90-beta´_4</f>
        <v>70.26610153539305</v>
      </c>
      <c r="O19" s="8" t="s">
        <v>15</v>
      </c>
      <c r="P19" s="8"/>
      <c r="Q19" s="8"/>
      <c r="R19" s="8"/>
      <c r="S19" s="8"/>
      <c r="T19" s="9"/>
    </row>
    <row r="20" spans="2:20" ht="15">
      <c r="B20" s="2"/>
      <c r="C20" s="8" t="s">
        <v>12</v>
      </c>
      <c r="D20" s="13" t="s">
        <v>13</v>
      </c>
      <c r="E20" s="81">
        <f>90-delta´_1</f>
        <v>50.76847951640774</v>
      </c>
      <c r="F20" s="8" t="s">
        <v>15</v>
      </c>
      <c r="G20" s="8"/>
      <c r="H20" s="81">
        <f>90-delta´_2</f>
        <v>61.70619775600909</v>
      </c>
      <c r="I20" s="8" t="s">
        <v>15</v>
      </c>
      <c r="J20" s="8"/>
      <c r="K20" s="81">
        <f>90-delta´_3</f>
        <v>63.8961188626601</v>
      </c>
      <c r="L20" s="8" t="s">
        <v>15</v>
      </c>
      <c r="M20" s="8"/>
      <c r="N20" s="81">
        <f>90-delta´_4</f>
        <v>78.96890442122927</v>
      </c>
      <c r="O20" s="8" t="s">
        <v>15</v>
      </c>
      <c r="P20" s="8"/>
      <c r="Q20" s="8"/>
      <c r="R20" s="8"/>
      <c r="S20" s="8"/>
      <c r="T20" s="9"/>
    </row>
    <row r="21" spans="2:20" ht="15">
      <c r="B21" s="2"/>
      <c r="C21" s="8" t="s">
        <v>23</v>
      </c>
      <c r="D21" s="13" t="s">
        <v>22</v>
      </c>
      <c r="E21" s="30">
        <f>180-2*beta_1</f>
        <v>48.18968510422141</v>
      </c>
      <c r="F21" s="24" t="s">
        <v>15</v>
      </c>
      <c r="G21" s="24"/>
      <c r="H21" s="30">
        <f>180-2*beta_2</f>
        <v>46.50163919151183</v>
      </c>
      <c r="I21" s="8" t="s">
        <v>15</v>
      </c>
      <c r="J21" s="10"/>
      <c r="K21" s="30">
        <f>180-2*beta_3</f>
        <v>30.670047821531284</v>
      </c>
      <c r="L21" s="8" t="s">
        <v>15</v>
      </c>
      <c r="M21" s="8"/>
      <c r="N21" s="30">
        <f>180-2*beta_4</f>
        <v>39.467796929213904</v>
      </c>
      <c r="O21" s="8" t="s">
        <v>15</v>
      </c>
      <c r="P21" s="8"/>
      <c r="Q21" s="8"/>
      <c r="R21" s="8"/>
      <c r="S21" s="8"/>
      <c r="T21" s="9"/>
    </row>
    <row r="22" spans="2:20" ht="15">
      <c r="B22" s="2"/>
      <c r="C22" s="8"/>
      <c r="D22" s="26"/>
      <c r="E22" s="38"/>
      <c r="F22" s="8"/>
      <c r="G22" s="8"/>
      <c r="H22" s="39"/>
      <c r="I22" s="8"/>
      <c r="J22" s="8"/>
      <c r="K22" s="39"/>
      <c r="L22" s="8"/>
      <c r="M22" s="8"/>
      <c r="N22" s="39"/>
      <c r="O22" s="25"/>
      <c r="P22" s="8"/>
      <c r="Q22" s="8"/>
      <c r="R22" s="8"/>
      <c r="S22" s="8"/>
      <c r="T22" s="9"/>
    </row>
    <row r="23" spans="2:20" ht="15">
      <c r="B23" s="2"/>
      <c r="C23" s="16" t="s">
        <v>16</v>
      </c>
      <c r="D23" s="8"/>
      <c r="E23" s="14"/>
      <c r="F23" s="8"/>
      <c r="G23" s="8"/>
      <c r="H23" s="14"/>
      <c r="I23" s="8"/>
      <c r="J23" s="8"/>
      <c r="K23" s="14"/>
      <c r="L23" s="8"/>
      <c r="M23" s="8"/>
      <c r="N23" s="14"/>
      <c r="O23" s="8"/>
      <c r="P23" s="8"/>
      <c r="Q23" s="8"/>
      <c r="R23" s="8"/>
      <c r="S23" s="8"/>
      <c r="T23" s="9"/>
    </row>
    <row r="24" spans="2:20" ht="15">
      <c r="B24" s="2"/>
      <c r="C24" s="25" t="s">
        <v>25</v>
      </c>
      <c r="D24" s="17" t="s">
        <v>26</v>
      </c>
      <c r="E24" s="14">
        <f>360/n_1</f>
        <v>90</v>
      </c>
      <c r="F24" s="26" t="s">
        <v>15</v>
      </c>
      <c r="G24" s="26"/>
      <c r="H24" s="33">
        <f>360/n_2</f>
        <v>72</v>
      </c>
      <c r="I24" s="25" t="s">
        <v>15</v>
      </c>
      <c r="J24" s="8"/>
      <c r="K24" s="33">
        <f>360/n_3</f>
        <v>60</v>
      </c>
      <c r="L24" s="25" t="s">
        <v>15</v>
      </c>
      <c r="M24" s="8"/>
      <c r="N24" s="14">
        <f>360/n_4</f>
        <v>45</v>
      </c>
      <c r="O24" s="25" t="s">
        <v>15</v>
      </c>
      <c r="P24" s="8"/>
      <c r="Q24" s="8"/>
      <c r="R24" s="8"/>
      <c r="S24" s="8"/>
      <c r="T24" s="9"/>
    </row>
    <row r="25" spans="2:20" ht="15">
      <c r="B25" s="2"/>
      <c r="C25" s="25"/>
      <c r="D25" s="17" t="s">
        <v>37</v>
      </c>
      <c r="E25" s="14">
        <f>90-alpha_1</f>
        <v>26.56505117707799</v>
      </c>
      <c r="F25" s="26" t="s">
        <v>15</v>
      </c>
      <c r="G25" s="26"/>
      <c r="H25" s="33">
        <f>90-alpha_2</f>
        <v>36.25383773744479</v>
      </c>
      <c r="I25" s="25" t="s">
        <v>15</v>
      </c>
      <c r="J25" s="8"/>
      <c r="K25" s="33">
        <f>90-alpha_3</f>
        <v>28.357636576327977</v>
      </c>
      <c r="L25" s="25" t="s">
        <v>15</v>
      </c>
      <c r="M25" s="8"/>
      <c r="N25" s="14">
        <f>90-alpha_4</f>
        <v>60</v>
      </c>
      <c r="O25" s="25" t="s">
        <v>15</v>
      </c>
      <c r="P25" s="8"/>
      <c r="Q25" s="8"/>
      <c r="R25" s="8"/>
      <c r="S25" s="8"/>
      <c r="T25" s="9"/>
    </row>
    <row r="26" spans="2:20" ht="15">
      <c r="B26" s="2"/>
      <c r="C26" s="8"/>
      <c r="D26" s="17" t="s">
        <v>17</v>
      </c>
      <c r="E26" s="32">
        <f>DEGREES(ATAN((TAN(RADIANS(180/n_1))*COS(RADIANS(alpha_1)))))</f>
        <v>24.094842552110705</v>
      </c>
      <c r="F26" s="8" t="s">
        <v>15</v>
      </c>
      <c r="G26" s="8"/>
      <c r="H26" s="41">
        <f>DEGREES(ATAN((TAN(RADIANS(180/n_2))*COS(RADIANS(alpha_2)))))</f>
        <v>23.250819595755914</v>
      </c>
      <c r="I26" s="8" t="s">
        <v>15</v>
      </c>
      <c r="J26" s="8"/>
      <c r="K26" s="41">
        <f>DEGREES(ATAN((TAN(RADIANS(180/n_3))*COS(RADIANS(alpha_3)))))</f>
        <v>15.335023910765639</v>
      </c>
      <c r="L26" s="8" t="s">
        <v>15</v>
      </c>
      <c r="M26" s="8"/>
      <c r="N26" s="32">
        <f>DEGREES(ATAN((TAN(RADIANS(180/n_4))*COS(RADIANS(alpha_4)))))</f>
        <v>19.73389846460695</v>
      </c>
      <c r="O26" s="8" t="s">
        <v>15</v>
      </c>
      <c r="P26" s="8"/>
      <c r="Q26" s="8"/>
      <c r="R26" s="8"/>
      <c r="S26" s="8"/>
      <c r="T26" s="9"/>
    </row>
    <row r="27" spans="2:20" ht="15">
      <c r="B27" s="2"/>
      <c r="C27" s="8"/>
      <c r="D27" s="17" t="s">
        <v>32</v>
      </c>
      <c r="E27" s="33">
        <f>DEGREES(ATAN(TAN(RADIANS(alpha_1))*SIN(RADIANS(beta´_1))))</f>
        <v>39.23152048359226</v>
      </c>
      <c r="F27" s="25" t="s">
        <v>15</v>
      </c>
      <c r="G27" s="25"/>
      <c r="H27" s="33">
        <f>DEGREES(ATAN(TAN(RADIANS(alpha_2))*SIN(RADIANS(beta´_2))))</f>
        <v>28.293802243990907</v>
      </c>
      <c r="I27" s="25" t="s">
        <v>15</v>
      </c>
      <c r="J27" s="8"/>
      <c r="K27" s="33">
        <f>DEGREES(ATAN(TAN(RADIANS(alpha_3))*SIN(RADIANS(beta´_3))))</f>
        <v>26.103881137339897</v>
      </c>
      <c r="L27" s="25" t="s">
        <v>15</v>
      </c>
      <c r="M27" s="8"/>
      <c r="N27" s="33">
        <f>DEGREES(ATAN(TAN(RADIANS(alpha_4))*SIN(RADIANS(beta´_4))))</f>
        <v>11.031095578770739</v>
      </c>
      <c r="O27" s="25" t="s">
        <v>15</v>
      </c>
      <c r="P27" s="8"/>
      <c r="Q27" s="8"/>
      <c r="R27" s="8"/>
      <c r="S27" s="8"/>
      <c r="T27" s="9"/>
    </row>
    <row r="28" spans="2:20" ht="15">
      <c r="B28" s="2"/>
      <c r="C28" s="8"/>
      <c r="D28" s="17" t="s">
        <v>35</v>
      </c>
      <c r="E28" s="33">
        <f>90-gamma_1</f>
        <v>41.81031489577859</v>
      </c>
      <c r="F28" s="25" t="s">
        <v>15</v>
      </c>
      <c r="G28" s="25"/>
      <c r="H28" s="33">
        <f>90-gamma_2</f>
        <v>43.49836080848817</v>
      </c>
      <c r="I28" s="25" t="s">
        <v>15</v>
      </c>
      <c r="J28" s="8"/>
      <c r="K28" s="33">
        <f>90-gamma_3</f>
        <v>59.329952178468716</v>
      </c>
      <c r="L28" s="25" t="s">
        <v>15</v>
      </c>
      <c r="M28" s="8"/>
      <c r="N28" s="33">
        <f>90-gamma_4</f>
        <v>50.532203070786096</v>
      </c>
      <c r="O28" s="25" t="s">
        <v>15</v>
      </c>
      <c r="P28" s="8"/>
      <c r="Q28" s="8"/>
      <c r="R28" s="8"/>
      <c r="S28" s="8"/>
      <c r="T28" s="9"/>
    </row>
    <row r="29" spans="2:20" ht="15" customHeight="1">
      <c r="B29" s="2"/>
      <c r="C29" s="8"/>
      <c r="D29" s="8" t="s">
        <v>20</v>
      </c>
      <c r="E29" s="14">
        <f>(a_1/2)/TAN(RADIANS((360/n_1)/2))</f>
        <v>100.00000000000001</v>
      </c>
      <c r="F29" s="8" t="s">
        <v>14</v>
      </c>
      <c r="G29" s="8"/>
      <c r="H29" s="15" t="s">
        <v>21</v>
      </c>
      <c r="I29" s="8" t="s">
        <v>14</v>
      </c>
      <c r="J29" s="8"/>
      <c r="K29" s="33">
        <f>SQRT(POWER(hs_3,2)-POWER(h_3,2))</f>
        <v>118.74342087037917</v>
      </c>
      <c r="L29" s="8" t="s">
        <v>14</v>
      </c>
      <c r="M29" s="8"/>
      <c r="N29" s="14">
        <f>(a_4/2)/TAN(RADIANS((360/n_4)/2))</f>
        <v>241.4213562373095</v>
      </c>
      <c r="O29" s="8" t="s">
        <v>14</v>
      </c>
      <c r="P29" s="8"/>
      <c r="Q29" s="8"/>
      <c r="R29" s="8"/>
      <c r="S29" s="8"/>
      <c r="T29" s="9"/>
    </row>
    <row r="30" spans="2:20" ht="15">
      <c r="B30" s="2"/>
      <c r="C30" s="8"/>
      <c r="D30" s="8" t="s">
        <v>5</v>
      </c>
      <c r="E30" s="15" t="s">
        <v>21</v>
      </c>
      <c r="F30" s="8"/>
      <c r="G30" s="8"/>
      <c r="H30" s="15" t="s">
        <v>21</v>
      </c>
      <c r="I30" s="8"/>
      <c r="J30" s="8"/>
      <c r="K30" s="15" t="s">
        <v>21</v>
      </c>
      <c r="L30" s="8"/>
      <c r="M30" s="8"/>
      <c r="N30" s="14">
        <f>ak_4*TAN(RADIANS(alpha_4))</f>
        <v>139.38468501173517</v>
      </c>
      <c r="O30" s="25" t="s">
        <v>14</v>
      </c>
      <c r="P30" s="8"/>
      <c r="Q30" s="8"/>
      <c r="R30" s="8"/>
      <c r="S30" s="8"/>
      <c r="T30" s="9"/>
    </row>
    <row r="31" spans="2:20" ht="15">
      <c r="B31" s="2"/>
      <c r="C31" s="8"/>
      <c r="D31" s="26"/>
      <c r="E31" s="3"/>
      <c r="F31" s="8"/>
      <c r="G31" s="8"/>
      <c r="H31" s="8"/>
      <c r="I31" s="8"/>
      <c r="J31" s="8"/>
      <c r="K31" s="8"/>
      <c r="L31" s="23"/>
      <c r="M31" s="8"/>
      <c r="N31" s="8"/>
      <c r="O31" s="8"/>
      <c r="P31" s="8"/>
      <c r="Q31" s="8"/>
      <c r="R31" s="8"/>
      <c r="S31" s="8"/>
      <c r="T31" s="9"/>
    </row>
    <row r="32" spans="2:20" ht="15">
      <c r="B32" s="2"/>
      <c r="C32" s="8"/>
      <c r="D32" s="16" t="s">
        <v>24</v>
      </c>
      <c r="E32" s="3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9"/>
    </row>
    <row r="33" spans="2:20" ht="15">
      <c r="B33" s="2"/>
      <c r="C33" s="8"/>
      <c r="D33" s="17" t="s">
        <v>36</v>
      </c>
      <c r="E33" s="3"/>
      <c r="F33" s="8"/>
      <c r="G33" s="8"/>
      <c r="H33" s="8"/>
      <c r="I33" s="8"/>
      <c r="J33" s="8"/>
      <c r="K33" s="8"/>
      <c r="L33" s="82"/>
      <c r="M33" s="8"/>
      <c r="N33" s="8"/>
      <c r="O33" s="8"/>
      <c r="P33" s="8"/>
      <c r="Q33" s="8"/>
      <c r="R33" s="8"/>
      <c r="S33" s="8"/>
      <c r="T33" s="9"/>
    </row>
    <row r="34" spans="2:20" ht="6.75" customHeight="1">
      <c r="B34" s="2"/>
      <c r="C34" s="8"/>
      <c r="D34" s="17"/>
      <c r="E34" s="3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9"/>
    </row>
    <row r="35" spans="2:20" ht="15">
      <c r="B35" s="2"/>
      <c r="C35" s="75" t="s">
        <v>27</v>
      </c>
      <c r="D35" s="13"/>
      <c r="E35" s="3"/>
      <c r="F35" s="8"/>
      <c r="G35" s="8"/>
      <c r="I35" s="8"/>
      <c r="J35" s="8"/>
      <c r="K35" s="8" t="s">
        <v>49</v>
      </c>
      <c r="M35" s="8"/>
      <c r="P35" s="8" t="s">
        <v>52</v>
      </c>
      <c r="S35" s="66" t="s">
        <v>28</v>
      </c>
      <c r="T35" s="9"/>
    </row>
    <row r="36" spans="2:20" ht="7.5" customHeight="1">
      <c r="B36" s="18"/>
      <c r="C36" s="19"/>
      <c r="D36" s="19"/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2"/>
    </row>
    <row r="37" ht="9.75" customHeight="1"/>
  </sheetData>
  <sheetProtection password="CAE5" sheet="1" selectLockedCells="1"/>
  <mergeCells count="2">
    <mergeCell ref="E4:N4"/>
    <mergeCell ref="E14:N14"/>
  </mergeCells>
  <dataValidations count="8">
    <dataValidation type="whole" showInputMessage="1" showErrorMessage="1" errorTitle="Wertebereich unzulässig!" error="3 - 24  (nur Ganzzahl)" sqref="E6:E7">
      <formula1>3</formula1>
      <formula2>24</formula2>
    </dataValidation>
    <dataValidation type="whole" showErrorMessage="1" promptTitle="3-24" errorTitle="Wertebereich unzulässig!" error="3-24  (nur Ganzzahl)" sqref="K6:K7 N6:N7 H6:H7">
      <formula1>3</formula1>
      <formula2>24</formula2>
    </dataValidation>
    <dataValidation type="decimal" showErrorMessage="1" errorTitle="Unzulässige Eingabe" error="20 - 10000 zulässig" sqref="E8">
      <formula1>20</formula1>
      <formula2>10000</formula2>
    </dataValidation>
    <dataValidation type="decimal" showInputMessage="1" showErrorMessage="1" errorTitle="Wertebereich ungültig!" error="20 - 10.000 zulässig!" sqref="K8:K10 N9:N11 H8:H9">
      <formula1>20</formula1>
      <formula2>10000</formula2>
    </dataValidation>
    <dataValidation type="decimal" showInputMessage="1" showErrorMessage="1" errorTitle="Wertebereich unzulässig!" error="0,5 - 89,5  zulässig!" sqref="N12:N13 K13">
      <formula1>0.5</formula1>
      <formula2>89.5</formula2>
    </dataValidation>
    <dataValidation type="decimal" showInputMessage="1" showErrorMessage="1" errorTitle="Wertebereich ungültig!" error="Mindestens 10% größer als &quot;Höhe&quot; erlaubt und maximal 11.000!" sqref="K11 H11">
      <formula1>1.1*h_3</formula1>
      <formula2>11000</formula2>
    </dataValidation>
    <dataValidation showInputMessage="1" showErrorMessage="1" errorTitle="Wertebereich unzulässig!" error="0,5 - 89,5  zulässig!" sqref="K12"/>
    <dataValidation type="decimal" showInputMessage="1" showErrorMessage="1" errorTitle="Unzulässige Eingabe!" error="20 - 10.000 zulässig! " sqref="E9 E11 H10">
      <formula1>20</formula1>
      <formula2>10000</formula2>
    </dataValidation>
  </dataValidations>
  <printOptions horizontalCentered="1"/>
  <pageMargins left="0.2362204724409449" right="0.2362204724409449" top="1.3779527559055118" bottom="0.7480314960629921" header="0.31496062992125984" footer="0.31496062992125984"/>
  <pageSetup fitToHeight="1" fitToWidth="1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38"/>
  <sheetViews>
    <sheetView showGridLines="0" zoomScalePageLayoutView="0" workbookViewId="0" topLeftCell="A1">
      <selection activeCell="L5" sqref="L5"/>
    </sheetView>
  </sheetViews>
  <sheetFormatPr defaultColWidth="11.421875" defaultRowHeight="19.5" customHeight="1"/>
  <cols>
    <col min="1" max="1" width="5.7109375" style="0" customWidth="1"/>
    <col min="2" max="2" width="3.8515625" style="0" customWidth="1"/>
    <col min="3" max="3" width="1.421875" style="0" customWidth="1"/>
    <col min="4" max="4" width="9.421875" style="0" customWidth="1"/>
    <col min="5" max="5" width="8.140625" style="0" customWidth="1"/>
    <col min="6" max="6" width="1.421875" style="0" customWidth="1"/>
    <col min="7" max="7" width="12.8515625" style="0" customWidth="1"/>
    <col min="8" max="8" width="8.7109375" style="0" customWidth="1"/>
    <col min="9" max="9" width="8.28125" style="0" customWidth="1"/>
    <col min="10" max="10" width="7.7109375" style="0" customWidth="1"/>
    <col min="11" max="11" width="0.9921875" style="0" customWidth="1"/>
    <col min="12" max="12" width="9.140625" style="0" customWidth="1"/>
    <col min="13" max="13" width="7.7109375" style="0" customWidth="1"/>
    <col min="14" max="14" width="10.421875" style="0" customWidth="1"/>
    <col min="15" max="15" width="8.8515625" style="0" customWidth="1"/>
    <col min="16" max="24" width="5.7109375" style="0" customWidth="1"/>
  </cols>
  <sheetData>
    <row r="2" ht="9" customHeight="1"/>
    <row r="3" ht="19.5" customHeight="1">
      <c r="B3" s="43" t="s">
        <v>42</v>
      </c>
    </row>
    <row r="4" ht="42" customHeight="1">
      <c r="L4" s="78" t="s">
        <v>48</v>
      </c>
    </row>
    <row r="5" spans="3:12" ht="19.5" customHeight="1">
      <c r="C5" s="58"/>
      <c r="D5" s="58"/>
      <c r="E5" s="58"/>
      <c r="F5" s="58"/>
      <c r="G5" s="58"/>
      <c r="H5" s="76"/>
      <c r="I5" s="59"/>
      <c r="J5" s="77" t="s">
        <v>51</v>
      </c>
      <c r="K5" s="61"/>
      <c r="L5" s="62">
        <v>4</v>
      </c>
    </row>
    <row r="6" spans="2:12" ht="31.5" customHeight="1">
      <c r="B6" s="58"/>
      <c r="C6" s="58"/>
      <c r="D6" s="58"/>
      <c r="E6" s="58"/>
      <c r="F6" s="58"/>
      <c r="G6" s="58"/>
      <c r="H6" s="58"/>
      <c r="I6" s="59"/>
      <c r="J6" s="55"/>
      <c r="K6" s="55"/>
      <c r="L6" s="60"/>
    </row>
    <row r="7" spans="2:5" ht="15.75" customHeight="1">
      <c r="B7" s="86" t="s">
        <v>44</v>
      </c>
      <c r="C7" s="86"/>
      <c r="D7" s="86"/>
      <c r="E7" s="63">
        <f>IF(Fall=1,n_1,IF(Fall=2,n_2,IF(Fall=3,n_3,IF(Fall=4,n_4,"____"))))</f>
        <v>8</v>
      </c>
    </row>
    <row r="8" spans="6:16" ht="25.5" customHeight="1">
      <c r="F8" s="46"/>
      <c r="G8" s="46"/>
      <c r="H8" s="46"/>
      <c r="I8" s="46"/>
      <c r="J8" s="46"/>
      <c r="K8" s="46"/>
      <c r="L8" s="46"/>
      <c r="M8" s="46"/>
      <c r="N8" s="46"/>
      <c r="O8" s="46"/>
      <c r="P8" s="45"/>
    </row>
    <row r="9" spans="2:16" ht="19.5" customHeight="1">
      <c r="B9" s="56" t="s">
        <v>50</v>
      </c>
      <c r="F9" s="46"/>
      <c r="G9" s="46"/>
      <c r="H9" s="74">
        <f>IF(Fall=1,gamma´_1,IF(Fall=2,gamma´_2,IF(Fall=3,gamma´_3,IF(Fall=4,gamma´_4,"____"))))</f>
        <v>50.532203070786096</v>
      </c>
      <c r="I9" s="46"/>
      <c r="J9" s="46"/>
      <c r="K9" s="46"/>
      <c r="L9" s="46"/>
      <c r="M9" s="46"/>
      <c r="N9" s="46"/>
      <c r="O9" s="46"/>
      <c r="P9" s="45"/>
    </row>
    <row r="10" spans="6:16" ht="10.5" customHeight="1"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5"/>
    </row>
    <row r="11" spans="6:16" ht="7.5" customHeight="1">
      <c r="F11" s="46"/>
      <c r="G11" s="46"/>
      <c r="H11" s="47"/>
      <c r="I11" s="47"/>
      <c r="J11" s="48"/>
      <c r="K11" s="48"/>
      <c r="L11" s="47"/>
      <c r="M11" s="47"/>
      <c r="N11" s="46"/>
      <c r="O11" s="46"/>
      <c r="P11" s="45"/>
    </row>
    <row r="12" spans="6:16" ht="28.5" customHeight="1">
      <c r="F12" s="46"/>
      <c r="G12" s="54">
        <f>IF(Fall=1,gamma_1,IF(Fall=2,gamma_2,IF(Fall=3,gamma_3,IF(Fall=4,gamma_4,"____"))))</f>
        <v>39.467796929213904</v>
      </c>
      <c r="H12" s="47"/>
      <c r="I12" s="47"/>
      <c r="J12" s="47"/>
      <c r="K12" s="47"/>
      <c r="L12" s="47"/>
      <c r="M12" s="47"/>
      <c r="N12" s="46"/>
      <c r="O12" s="46"/>
      <c r="P12" s="45"/>
    </row>
    <row r="13" spans="6:16" ht="19.5" customHeight="1">
      <c r="F13" s="46"/>
      <c r="G13" s="52"/>
      <c r="H13" s="46"/>
      <c r="I13" s="46"/>
      <c r="J13" s="46"/>
      <c r="K13" s="46"/>
      <c r="L13" s="46"/>
      <c r="M13" s="46"/>
      <c r="N13" s="46"/>
      <c r="O13" s="46"/>
      <c r="P13" s="45"/>
    </row>
    <row r="14" spans="6:16" ht="19.5" customHeight="1"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5"/>
    </row>
    <row r="15" spans="6:16" ht="6.75" customHeight="1"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5"/>
    </row>
    <row r="16" spans="6:16" ht="19.5" customHeight="1">
      <c r="F16" s="46"/>
      <c r="G16" s="46"/>
      <c r="H16" s="46"/>
      <c r="I16" s="54">
        <f>IF(Fall=1,delta´_1,IF(Fall=2,delta´_2,IF(Fall=3,delta´_3,IF(Fall=4,delta´_4,"____"))))</f>
        <v>11.031095578770739</v>
      </c>
      <c r="L16" s="46"/>
      <c r="M16" s="46"/>
      <c r="N16" s="46"/>
      <c r="O16" s="46"/>
      <c r="P16" s="45"/>
    </row>
    <row r="17" spans="3:16" ht="11.25" customHeight="1">
      <c r="C17" s="44"/>
      <c r="D17" s="44"/>
      <c r="E17" s="44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5"/>
    </row>
    <row r="18" spans="6:16" ht="15.75" customHeight="1">
      <c r="F18" s="46"/>
      <c r="G18" s="46"/>
      <c r="H18" s="46"/>
      <c r="I18" s="46"/>
      <c r="J18" s="85">
        <f>IF(Fall=1,hs_1,IF(Fall=2,hs_2,IF(Fall=3,hs_3,IF(Fall=4,hs_4,"____"))))</f>
        <v>278.76937002347034</v>
      </c>
      <c r="K18" s="85"/>
      <c r="L18" s="85"/>
      <c r="M18" s="46" t="s">
        <v>14</v>
      </c>
      <c r="P18" s="45"/>
    </row>
    <row r="19" spans="6:16" ht="14.25" customHeight="1">
      <c r="F19" s="46"/>
      <c r="G19" s="46"/>
      <c r="H19" s="46"/>
      <c r="I19" s="46"/>
      <c r="J19" s="46"/>
      <c r="K19" s="46"/>
      <c r="L19" s="53"/>
      <c r="M19" s="46"/>
      <c r="N19" s="46"/>
      <c r="O19" s="46"/>
      <c r="P19" s="45"/>
    </row>
    <row r="20" spans="6:16" ht="20.25" customHeight="1">
      <c r="F20" s="46"/>
      <c r="G20" s="46"/>
      <c r="H20" s="51">
        <f>IF(Fall=1,delta_1,IF(Fall=2,delta_2,IF(Fall=3,delta_3,IF(Fall=4,delta_4,"____"))))</f>
        <v>78.96890442122927</v>
      </c>
      <c r="I20" s="46"/>
      <c r="J20" s="46"/>
      <c r="K20" s="46"/>
      <c r="L20" s="46"/>
      <c r="M20" s="46"/>
      <c r="N20" s="46"/>
      <c r="O20" s="46"/>
      <c r="P20" s="45"/>
    </row>
    <row r="21" spans="6:16" ht="19.5" customHeight="1"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5"/>
    </row>
    <row r="22" spans="6:16" ht="19.5" customHeight="1"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5"/>
    </row>
    <row r="23" spans="6:16" ht="12" customHeight="1"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5"/>
    </row>
    <row r="24" spans="6:16" ht="24" customHeight="1">
      <c r="F24" s="46"/>
      <c r="G24" s="46"/>
      <c r="H24" s="46"/>
      <c r="I24" s="46"/>
      <c r="J24" s="46"/>
      <c r="K24" s="46"/>
      <c r="L24" s="51">
        <f>IF(Fall=1,beta´_1,IF(Fall=2,beta´_2,IF(Fall=3,beta´_3,IF(Fall=4,beta´_4,"____"))))</f>
        <v>19.73389846460695</v>
      </c>
      <c r="M24" s="46"/>
      <c r="N24" s="46"/>
      <c r="O24" s="46"/>
      <c r="P24" s="45"/>
    </row>
    <row r="25" spans="6:16" ht="9" customHeight="1">
      <c r="F25" s="46"/>
      <c r="G25" s="46"/>
      <c r="H25" s="46"/>
      <c r="I25" s="46"/>
      <c r="J25" s="46"/>
      <c r="K25" s="46"/>
      <c r="L25" s="46"/>
      <c r="N25" s="46"/>
      <c r="O25" s="46"/>
      <c r="P25" s="45"/>
    </row>
    <row r="26" spans="6:16" ht="22.5" customHeight="1">
      <c r="F26" s="46"/>
      <c r="G26" s="46"/>
      <c r="H26" s="46"/>
      <c r="I26" s="50">
        <f>IF(Fall=1,beta_1,IF(Fall=2,beta_2,IF(Fall=3,beta_3,IF(Fall=4,beta_4,"____"))))</f>
        <v>70.26610153539305</v>
      </c>
      <c r="J26" s="46"/>
      <c r="K26" s="46"/>
      <c r="L26" s="46"/>
      <c r="M26" s="46"/>
      <c r="N26" s="46"/>
      <c r="O26" s="46"/>
      <c r="P26" s="45"/>
    </row>
    <row r="27" spans="6:16" ht="28.5" customHeight="1">
      <c r="F27" s="46"/>
      <c r="G27" s="54">
        <f>IF(Fall=1,alpha_1,IF(Fall=2,alpha_2,IF(Fall=3,alpha_3,IF(Fall=4,alpha_4,"____"))))</f>
        <v>30</v>
      </c>
      <c r="H27" s="46"/>
      <c r="I27" s="46"/>
      <c r="L27" s="46"/>
      <c r="M27" s="46"/>
      <c r="N27" s="46"/>
      <c r="O27" s="46"/>
      <c r="P27" s="45"/>
    </row>
    <row r="28" spans="6:16" ht="34.5" customHeight="1">
      <c r="F28" s="46"/>
      <c r="H28" s="51">
        <f>IF(Fall=1,alpha´_1,IF(Fall=2,alpha´_2,IF(Fall=3,alpha´_3,IF(Fall=4,alpha´_4,"____"))))</f>
        <v>60</v>
      </c>
      <c r="I28" s="46"/>
      <c r="J28" s="46"/>
      <c r="K28" s="46"/>
      <c r="L28" s="46"/>
      <c r="M28" s="46"/>
      <c r="N28" s="46"/>
      <c r="O28" s="46"/>
      <c r="P28" s="45"/>
    </row>
    <row r="29" spans="6:16" ht="19.5" customHeight="1">
      <c r="F29" s="46"/>
      <c r="G29" s="46"/>
      <c r="I29" s="46"/>
      <c r="J29" s="46"/>
      <c r="K29" s="46"/>
      <c r="L29" s="46"/>
      <c r="M29" s="46"/>
      <c r="N29" s="46"/>
      <c r="O29" s="46"/>
      <c r="P29" s="45"/>
    </row>
    <row r="30" spans="6:16" ht="19.5" customHeight="1">
      <c r="F30" s="46"/>
      <c r="G30" s="85">
        <f>IF(Fall=1,a_1,IF(Fall=2,a_2,IF(Fall=3,a_3,IF(Fall=4,a_4,"____"))))</f>
        <v>200</v>
      </c>
      <c r="H30" s="85"/>
      <c r="I30" s="46" t="s">
        <v>14</v>
      </c>
      <c r="J30" s="49"/>
      <c r="K30" s="49"/>
      <c r="L30" s="46"/>
      <c r="M30" s="46"/>
      <c r="N30" s="46"/>
      <c r="O30" s="46"/>
      <c r="P30" s="45"/>
    </row>
    <row r="31" spans="2:16" ht="45" customHeight="1">
      <c r="B31" s="70"/>
      <c r="F31" s="46"/>
      <c r="G31" s="46"/>
      <c r="J31" s="46"/>
      <c r="K31" s="46"/>
      <c r="L31" s="46"/>
      <c r="M31" s="46"/>
      <c r="N31" s="46"/>
      <c r="O31" s="46"/>
      <c r="P31" s="45"/>
    </row>
    <row r="32" ht="13.5" customHeight="1">
      <c r="B32" s="56" t="s">
        <v>40</v>
      </c>
    </row>
    <row r="33" spans="2:17" ht="19.5" customHeight="1">
      <c r="B33" s="56" t="s">
        <v>43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4" spans="2:17" ht="12" customHeight="1">
      <c r="B34" s="56" t="s">
        <v>39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2:17" ht="13.5" customHeight="1">
      <c r="B35" s="56" t="s">
        <v>47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2:16" ht="28.5" customHeight="1">
      <c r="B36" s="17" t="s">
        <v>41</v>
      </c>
      <c r="H36" s="3"/>
      <c r="I36" s="8"/>
      <c r="J36" s="8"/>
      <c r="K36" s="8"/>
      <c r="L36" s="8"/>
      <c r="M36" s="8"/>
      <c r="N36" s="8"/>
      <c r="O36" s="46"/>
      <c r="P36" s="45"/>
    </row>
    <row r="37" spans="2:17" ht="13.5" customHeight="1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2:12" ht="13.5" customHeight="1">
      <c r="B38" s="56" t="s">
        <v>49</v>
      </c>
      <c r="L38" s="57" t="s">
        <v>38</v>
      </c>
    </row>
  </sheetData>
  <sheetProtection password="CAE5" sheet="1" objects="1" selectLockedCells="1"/>
  <mergeCells count="3">
    <mergeCell ref="J18:L18"/>
    <mergeCell ref="G30:H30"/>
    <mergeCell ref="B7:D7"/>
  </mergeCells>
  <dataValidations count="2">
    <dataValidation type="whole" showInputMessage="1" showErrorMessage="1" errorTitle="Unzulässiger Wert!" error="0 = Leerformular&#10;1 = Werte aus Fall 1&#10;2 = Werte aus Fall 2&#10;3 = Werte aus Fall 3" sqref="L6">
      <formula1>0</formula1>
      <formula2>3</formula2>
    </dataValidation>
    <dataValidation type="whole" showInputMessage="1" showErrorMessage="1" errorTitle="Unzulässiger Wert!" error="0 = Leerformular&#10;1 = Werte aus Fall 1&#10;2 = Werte aus Fall 2&#10;3 = Werte aus Fall 3&#10;4 = Werte aus Fall 4" sqref="L5">
      <formula1>0</formula1>
      <formula2>4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2010-12-07T12:57:07Z</dcterms:created>
  <dcterms:modified xsi:type="dcterms:W3CDTF">2011-11-05T13:45:02Z</dcterms:modified>
  <cp:category/>
  <cp:version/>
  <cp:contentType/>
  <cp:contentStatus/>
</cp:coreProperties>
</file>